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30" windowHeight="9030" activeTab="1"/>
  </bookViews>
  <sheets>
    <sheet name="EFEKT EKO" sheetId="1" r:id="rId1"/>
    <sheet name="OBLICZ" sheetId="2" r:id="rId2"/>
    <sheet name="GEO" sheetId="4" r:id="rId3"/>
    <sheet name="BEI" sheetId="3" r:id="rId4"/>
  </sheets>
  <calcPr calcId="125725"/>
</workbook>
</file>

<file path=xl/calcChain.xml><?xml version="1.0" encoding="utf-8"?>
<calcChain xmlns="http://schemas.openxmlformats.org/spreadsheetml/2006/main">
  <c r="G15" i="3"/>
  <c r="I15" s="1"/>
  <c r="D15"/>
  <c r="D10"/>
  <c r="D20" s="1"/>
  <c r="E10"/>
  <c r="F10"/>
  <c r="C10"/>
  <c r="C20" s="1"/>
  <c r="H6"/>
  <c r="H7"/>
  <c r="J7" s="1"/>
  <c r="H8"/>
  <c r="J8" s="1"/>
  <c r="H9"/>
  <c r="J9" s="1"/>
  <c r="H5"/>
  <c r="J5" s="1"/>
  <c r="G5"/>
  <c r="I5" s="1"/>
  <c r="G6"/>
  <c r="I6" s="1"/>
  <c r="G7"/>
  <c r="I7" s="1"/>
  <c r="G8"/>
  <c r="I8" s="1"/>
  <c r="G9"/>
  <c r="I9" s="1"/>
  <c r="G10" l="1"/>
  <c r="I10" s="1"/>
  <c r="F15"/>
  <c r="H10"/>
  <c r="J10" s="1"/>
  <c r="E20" i="1"/>
  <c r="F20" s="1"/>
  <c r="L20" s="1"/>
  <c r="E16"/>
  <c r="E9"/>
  <c r="E8"/>
  <c r="C28"/>
  <c r="E4"/>
  <c r="C4"/>
  <c r="C27" s="1"/>
  <c r="F16"/>
  <c r="L16" s="1"/>
  <c r="I9" i="2"/>
  <c r="I8"/>
  <c r="I7"/>
  <c r="N6"/>
  <c r="I6"/>
  <c r="E5"/>
  <c r="J5" s="1"/>
  <c r="K5" s="1"/>
  <c r="L5" s="1"/>
  <c r="P5" s="1"/>
  <c r="H15" i="3" l="1"/>
  <c r="M5" i="2"/>
  <c r="Q5" s="1"/>
  <c r="D4" i="1"/>
  <c r="F4" s="1"/>
  <c r="D14" i="3" s="1"/>
  <c r="L21" i="1"/>
  <c r="L22" s="1"/>
  <c r="L23" s="1"/>
  <c r="J20"/>
  <c r="J16"/>
  <c r="K16"/>
  <c r="K20"/>
  <c r="G5" i="2"/>
  <c r="D16" i="3" l="1"/>
  <c r="J15"/>
  <c r="J21" i="1"/>
  <c r="J22" s="1"/>
  <c r="J23" s="1"/>
  <c r="K21"/>
  <c r="K22" s="1"/>
  <c r="K23" s="1"/>
  <c r="G7" i="2"/>
  <c r="E7" s="1"/>
  <c r="G6"/>
  <c r="G9"/>
  <c r="G8"/>
  <c r="E8" s="1"/>
  <c r="L4" i="1" l="1"/>
  <c r="G27" l="1"/>
  <c r="C14" i="3"/>
  <c r="J4" i="1"/>
  <c r="E27" s="1"/>
  <c r="K4"/>
  <c r="F27" s="1"/>
  <c r="E6" i="2" l="1"/>
  <c r="J6"/>
  <c r="K6" s="1"/>
  <c r="L6" s="1"/>
  <c r="P6" s="1"/>
  <c r="Q6" s="1"/>
  <c r="C7"/>
  <c r="J7"/>
  <c r="K7" s="1"/>
  <c r="L7" s="1"/>
  <c r="C8"/>
  <c r="P7" l="1"/>
  <c r="Q7" s="1"/>
  <c r="D9" i="1"/>
  <c r="F9" s="1"/>
  <c r="J8" i="2"/>
  <c r="J9" i="1" l="1"/>
  <c r="K9"/>
  <c r="L9"/>
  <c r="K8" i="2"/>
  <c r="L8" s="1"/>
  <c r="D8" i="1" s="1"/>
  <c r="F8" s="1"/>
  <c r="F14" i="3" s="1"/>
  <c r="P8" i="2"/>
  <c r="Q8" s="1"/>
  <c r="E9"/>
  <c r="C9" s="1"/>
  <c r="F16" i="3" l="1"/>
  <c r="H14"/>
  <c r="J8" i="1"/>
  <c r="J10" s="1"/>
  <c r="K8"/>
  <c r="K10" s="1"/>
  <c r="L8"/>
  <c r="L10" s="1"/>
  <c r="E14" i="3" s="1"/>
  <c r="J9" i="2"/>
  <c r="K9" s="1"/>
  <c r="L9" s="1"/>
  <c r="P9" s="1"/>
  <c r="Q9" s="1"/>
  <c r="E16" i="3" l="1"/>
  <c r="G14"/>
  <c r="J14"/>
  <c r="H16"/>
  <c r="L11" i="1"/>
  <c r="L12" s="1"/>
  <c r="G28"/>
  <c r="G29" s="1"/>
  <c r="G30" s="1"/>
  <c r="K11"/>
  <c r="K12" s="1"/>
  <c r="F28"/>
  <c r="F29" s="1"/>
  <c r="F30" s="1"/>
  <c r="E28"/>
  <c r="E29" s="1"/>
  <c r="E30" s="1"/>
  <c r="J11"/>
  <c r="J12" s="1"/>
  <c r="Q10" i="2"/>
  <c r="C16" i="3"/>
  <c r="J16" l="1"/>
  <c r="F20"/>
  <c r="H20" s="1"/>
  <c r="J20" s="1"/>
  <c r="I14"/>
  <c r="G16"/>
  <c r="E20" l="1"/>
  <c r="G20" s="1"/>
  <c r="I20" s="1"/>
  <c r="I16"/>
</calcChain>
</file>

<file path=xl/sharedStrings.xml><?xml version="1.0" encoding="utf-8"?>
<sst xmlns="http://schemas.openxmlformats.org/spreadsheetml/2006/main" count="213" uniqueCount="121">
  <si>
    <r>
      <rPr>
        <b/>
        <sz val="10"/>
        <rFont val="Book Antiqua"/>
        <family val="1"/>
        <charset val="238"/>
      </rPr>
      <t>Przed realizacją projektu</t>
    </r>
  </si>
  <si>
    <r>
      <rPr>
        <b/>
        <sz val="10"/>
        <rFont val="Book Antiqua"/>
        <family val="1"/>
        <charset val="238"/>
      </rPr>
      <t>Liczba urządzeń [szt.]</t>
    </r>
  </si>
  <si>
    <r>
      <rPr>
        <b/>
        <sz val="10"/>
        <rFont val="Book Antiqua"/>
        <family val="1"/>
        <charset val="238"/>
      </rPr>
      <t>Wskaźniki emisji zanieczyszczeń</t>
    </r>
  </si>
  <si>
    <r>
      <rPr>
        <b/>
        <sz val="10"/>
        <rFont val="Book Antiqua"/>
        <family val="1"/>
        <charset val="238"/>
      </rPr>
      <t>Emisja zanieczyszczeń</t>
    </r>
  </si>
  <si>
    <r>
      <rPr>
        <b/>
        <sz val="10"/>
        <rFont val="Book Antiqua"/>
        <family val="1"/>
        <charset val="238"/>
      </rPr>
      <t>PM10 [g/GJ]</t>
    </r>
  </si>
  <si>
    <r>
      <rPr>
        <b/>
        <sz val="10"/>
        <rFont val="Book Antiqua"/>
        <family val="1"/>
        <charset val="238"/>
      </rPr>
      <t>PM2,5 [g/GJ]</t>
    </r>
  </si>
  <si>
    <r>
      <rPr>
        <b/>
        <sz val="10"/>
        <rFont val="Book Antiqua"/>
        <family val="1"/>
        <charset val="238"/>
      </rPr>
      <t>CO</t>
    </r>
    <r>
      <rPr>
        <b/>
        <vertAlign val="subscript"/>
        <sz val="10"/>
        <rFont val="Book Antiqua"/>
        <family val="1"/>
        <charset val="238"/>
      </rPr>
      <t>2</t>
    </r>
    <r>
      <rPr>
        <b/>
        <sz val="10"/>
        <rFont val="Book Antiqua"/>
        <family val="1"/>
        <charset val="238"/>
      </rPr>
      <t xml:space="preserve"> [kg/GJ]</t>
    </r>
  </si>
  <si>
    <r>
      <rPr>
        <b/>
        <sz val="10"/>
        <rFont val="Book Antiqua"/>
        <family val="1"/>
        <charset val="238"/>
      </rPr>
      <t>PM10 [Mg/rok]</t>
    </r>
  </si>
  <si>
    <r>
      <rPr>
        <b/>
        <sz val="10"/>
        <rFont val="Book Antiqua"/>
        <family val="1"/>
        <charset val="238"/>
      </rPr>
      <t>PM2,5 [Mg/rok]</t>
    </r>
  </si>
  <si>
    <r>
      <rPr>
        <b/>
        <sz val="10"/>
        <rFont val="Book Antiqua"/>
        <family val="1"/>
        <charset val="238"/>
      </rPr>
      <t>CO</t>
    </r>
    <r>
      <rPr>
        <b/>
        <vertAlign val="subscript"/>
        <sz val="10"/>
        <rFont val="Book Antiqua"/>
        <family val="1"/>
        <charset val="238"/>
      </rPr>
      <t>2</t>
    </r>
    <r>
      <rPr>
        <b/>
        <sz val="10"/>
        <rFont val="Book Antiqua"/>
        <family val="1"/>
        <charset val="238"/>
      </rPr>
      <t xml:space="preserve"> [Mg/rok]</t>
    </r>
  </si>
  <si>
    <r>
      <rPr>
        <b/>
        <sz val="10"/>
        <rFont val="Book Antiqua"/>
        <family val="1"/>
        <charset val="238"/>
      </rPr>
      <t>Po realizacji projektu</t>
    </r>
  </si>
  <si>
    <r>
      <rPr>
        <b/>
        <sz val="10"/>
        <rFont val="Book Antiqua"/>
        <family val="1"/>
        <charset val="238"/>
      </rPr>
      <t>CO2 [Mg/rok]</t>
    </r>
  </si>
  <si>
    <r>
      <rPr>
        <b/>
        <sz val="10"/>
        <rFont val="Book Antiqua"/>
        <family val="1"/>
        <charset val="238"/>
      </rPr>
      <t>Suma</t>
    </r>
  </si>
  <si>
    <r>
      <rPr>
        <b/>
        <sz val="10"/>
        <rFont val="Book Antiqua"/>
        <family val="1"/>
        <charset val="238"/>
      </rPr>
      <t>Redukcja emisji</t>
    </r>
  </si>
  <si>
    <r>
      <rPr>
        <b/>
        <sz val="10"/>
        <rFont val="Book Antiqua"/>
        <family val="1"/>
        <charset val="238"/>
      </rPr>
      <t>% Redukcji emisji</t>
    </r>
  </si>
  <si>
    <t>jednostka</t>
  </si>
  <si>
    <t>Węgiel kamienny</t>
  </si>
  <si>
    <t>Węgiel brunatny</t>
  </si>
  <si>
    <t>Gaz ziemny</t>
  </si>
  <si>
    <t>Olej opałowy</t>
  </si>
  <si>
    <t>Biomasa</t>
  </si>
  <si>
    <t>kg/GJ</t>
  </si>
  <si>
    <r>
      <rPr>
        <b/>
        <sz val="10"/>
        <rFont val="Book Antiqua"/>
        <family val="1"/>
        <charset val="238"/>
      </rPr>
      <t>Wskaźniki emisji dla źródeł ciepła</t>
    </r>
  </si>
  <si>
    <r>
      <rPr>
        <b/>
        <sz val="10"/>
        <rFont val="Book Antiqua"/>
        <family val="1"/>
        <charset val="238"/>
      </rPr>
      <t>powyżej 50 MW</t>
    </r>
  </si>
  <si>
    <t>średnia wartość opałowa na podstawie:</t>
  </si>
  <si>
    <r>
      <rPr>
        <u/>
        <sz val="10"/>
        <rFont val="Book Antiqua"/>
        <family val="1"/>
        <charset val="238"/>
      </rPr>
      <t>http://www.kobize.pl/uploads/materialv/materialv do pobrania/monitorowanie raportowanie weryfikacja emisji w eu ets/WO i WE do stosowania w SHE 2016.pd</t>
    </r>
    <r>
      <rPr>
        <sz val="10"/>
        <rFont val="Book Antiqua"/>
        <family val="1"/>
        <charset val="238"/>
      </rPr>
      <t>f</t>
    </r>
  </si>
  <si>
    <t>węgiel</t>
  </si>
  <si>
    <t>MJ/kg</t>
  </si>
  <si>
    <t>biomasa</t>
  </si>
  <si>
    <t>gaz</t>
  </si>
  <si>
    <t>MJ/m3</t>
  </si>
  <si>
    <t>Średnia wartość opałowa [GJ/Mg]</t>
  </si>
  <si>
    <t>Średnia ilość zużywanego paliwa [Mg/rok]/kocioł</t>
  </si>
  <si>
    <t>Ilość wytworzonego ciepła [GJ/rok]</t>
  </si>
  <si>
    <t>Średnia ilość zużywanego paliwa [Mg/rok]/kocioł lub [m3/rok]/kocioł</t>
  </si>
  <si>
    <t>Średnia wartość opałowa [GJ/Mg, MJ/m3]</t>
  </si>
  <si>
    <t>Wskaźnik energii pierwotnej</t>
  </si>
  <si>
    <t>Wskaźnik nakładu nieodnawialnej energii pierwotnej</t>
  </si>
  <si>
    <t>Wskaźnik energii końcowej</t>
  </si>
  <si>
    <t>Sprawność kotła</t>
  </si>
  <si>
    <t>Wskaźnik energii użytkowej</t>
  </si>
  <si>
    <t>Wartości opałowe (WO)*</t>
  </si>
  <si>
    <t>Powierzchnia użytkowa mieszkania (średnia) **</t>
  </si>
  <si>
    <t>Energia końcowa dla budynku/ mieszkania</t>
  </si>
  <si>
    <t>Zużycie paliwa</t>
  </si>
  <si>
    <t>Ilość wymienianych urządzeń</t>
  </si>
  <si>
    <t>Koszt zakupu jednostki energii/paliwa</t>
  </si>
  <si>
    <t>Koszt zakupu jednostki energii/paliwa
- jedn.</t>
  </si>
  <si>
    <t>Koszt zakupu paliwa w budynku na rok</t>
  </si>
  <si>
    <t>Koszty paliwa RAZEM (według wskaźników projektu)</t>
  </si>
  <si>
    <t>Charakterystyka wariantu</t>
  </si>
  <si>
    <t>kWh/m2 /rok</t>
  </si>
  <si>
    <t>jedn.</t>
  </si>
  <si>
    <t>%</t>
  </si>
  <si>
    <t>MJ/kg/MJ/m3</t>
  </si>
  <si>
    <t>m kw.</t>
  </si>
  <si>
    <t>kWh/rok</t>
  </si>
  <si>
    <t>GJ/rok</t>
  </si>
  <si>
    <t>m3 / kg / GJ / MWh</t>
  </si>
  <si>
    <t>szt.</t>
  </si>
  <si>
    <t>zł</t>
  </si>
  <si>
    <t xml:space="preserve">Stare palenisko na paliwo stałe </t>
  </si>
  <si>
    <t>zł/ Mg</t>
  </si>
  <si>
    <t>PRZED</t>
  </si>
  <si>
    <t>Podłączenie do sieci ciepłowniczej</t>
  </si>
  <si>
    <t>zł/ GJ****</t>
  </si>
  <si>
    <t>PO</t>
  </si>
  <si>
    <t>Nowoczesny kocioł na biomasę, automatyczne zasilane paliwem (wyłącznie poddziałanie 4.4.2)</t>
  </si>
  <si>
    <t>Kocioł gazowy 
(wyłącznie poddziałanie 4.4.2)</t>
  </si>
  <si>
    <t>zł/ kWh***</t>
  </si>
  <si>
    <t>Pompa ciepła</t>
  </si>
  <si>
    <t>zł/ MWh*****</t>
  </si>
  <si>
    <t>* Wartości opałowe (WO) i wskaźniki emisji CO2 (WE) w roku 2013 do raportowania w ramach Wspólnotowego Systemu Handlu Uprawnieniami do Emisji za rok 2016</t>
  </si>
  <si>
    <t>** Bank Danych Lokalnych GUS, dane za 2015 rok</t>
  </si>
  <si>
    <t>*** dane PGNiG za okres od 01.07.2016 roku do teraz, http://www.pgnig.pl/dla-domu/taryfa</t>
  </si>
  <si>
    <t>**** taryfy MPEC Tarnów http://www.mpec.tarnow.pl/pdf/Zmiana%20taryfy%20dla%20ciepla%20nr%2011%20obowiazujaca%20od%2001.11.2016.pdf</t>
  </si>
  <si>
    <t>***** https://www.ure.gov.pl/pl/urzad/informacje-ogolne/aktualnosci/6839,Zgodnie-z-ustawa-Prawo-energetyczne-Prezes-URE-poinformowal-ze-w-III-kwartale-20.html</t>
  </si>
  <si>
    <t>Redukcja</t>
  </si>
  <si>
    <t>Wyliczenia dotyczące wskaźników energii: końcowej, pierwotnej i użytkowej</t>
  </si>
  <si>
    <t>PODSUMOWANIE</t>
  </si>
  <si>
    <t>przed/po realizacji projektu</t>
  </si>
  <si>
    <t>przed</t>
  </si>
  <si>
    <t>po</t>
  </si>
  <si>
    <t>stan przed wymianą</t>
  </si>
  <si>
    <t>stan po wymianie</t>
  </si>
  <si>
    <r>
      <rPr>
        <b/>
        <sz val="10"/>
        <rFont val="Book Antiqua"/>
        <family val="1"/>
        <charset val="238"/>
      </rPr>
      <t xml:space="preserve">Nowoczesny kocioł na węgiel, automatyczne zasilanie paliwem </t>
    </r>
    <r>
      <rPr>
        <sz val="10"/>
        <rFont val="Book Antiqua"/>
        <family val="1"/>
        <charset val="238"/>
      </rPr>
      <t>(poddziałanie 4.4.3)</t>
    </r>
  </si>
  <si>
    <r>
      <rPr>
        <b/>
        <sz val="10"/>
        <rFont val="Book Antiqua"/>
        <family val="1"/>
        <charset val="238"/>
      </rPr>
      <t xml:space="preserve">Nowoczesny kocioł na biomasę, automatyczne zasilanie paliwem </t>
    </r>
    <r>
      <rPr>
        <sz val="10"/>
        <rFont val="Book Antiqua"/>
        <family val="1"/>
        <charset val="238"/>
      </rPr>
      <t>(poddziałanie 4.4.2)</t>
    </r>
  </si>
  <si>
    <r>
      <rPr>
        <b/>
        <sz val="10"/>
        <rFont val="Book Antiqua"/>
        <family val="1"/>
        <charset val="238"/>
      </rPr>
      <t xml:space="preserve">Kocioł gazowy
</t>
    </r>
    <r>
      <rPr>
        <sz val="10"/>
        <rFont val="Book Antiqua"/>
        <family val="1"/>
        <charset val="238"/>
      </rPr>
      <t>(poddziałanie 4.4.2)</t>
    </r>
  </si>
  <si>
    <t>Stare kotły na paliwo stałe</t>
  </si>
  <si>
    <t>Gospodarstwa indywidualne:</t>
  </si>
  <si>
    <t>Ruch tranzytowy:</t>
  </si>
  <si>
    <t>Ruch lokalny:</t>
  </si>
  <si>
    <t>Budynki użyteczności publicznej:</t>
  </si>
  <si>
    <t>Oświetlenie uliczne:</t>
  </si>
  <si>
    <t>MgCO2</t>
  </si>
  <si>
    <t>GJ</t>
  </si>
  <si>
    <t>Łącznie:</t>
  </si>
  <si>
    <t>Sektory</t>
  </si>
  <si>
    <t>%MgCO2</t>
  </si>
  <si>
    <t>%GJ</t>
  </si>
  <si>
    <t>Redukcja %</t>
  </si>
  <si>
    <t>Lp.</t>
  </si>
  <si>
    <t>Dystrykt</t>
  </si>
  <si>
    <t xml:space="preserve">Zapotrzebowanie na ciepło  </t>
  </si>
  <si>
    <t>Węgiel (Mg)</t>
  </si>
  <si>
    <t>SO2 (kg)</t>
  </si>
  <si>
    <t>NO2 (kg)</t>
  </si>
  <si>
    <t>CO (kg)</t>
  </si>
  <si>
    <t>CO2 (kg)</t>
  </si>
  <si>
    <t>Pył  (kg)</t>
  </si>
  <si>
    <t>Sadza  (kg)</t>
  </si>
  <si>
    <t>Benzo/a/piren (kg)</t>
  </si>
  <si>
    <t>Mg</t>
  </si>
  <si>
    <t>kg</t>
  </si>
  <si>
    <t>DI+DII+DIII+DIV+DV+DVI+DVII+DVIII</t>
  </si>
  <si>
    <t>Wymiana kotłów na ekologiczne</t>
  </si>
  <si>
    <t>Sieć geotermalna ciepłownicza</t>
  </si>
  <si>
    <t>Łącznie po realizacji zadań:</t>
  </si>
  <si>
    <t>Zadanie</t>
  </si>
  <si>
    <t>Wskaźniki emisji zanieczyszczeń</t>
  </si>
  <si>
    <t>Kotły ekologiczne (paliwa stałe kotły 5 klasy, gazowe, biomasowe)</t>
  </si>
</sst>
</file>

<file path=xl/styles.xml><?xml version="1.0" encoding="utf-8"?>
<styleSheet xmlns="http://schemas.openxmlformats.org/spreadsheetml/2006/main">
  <numFmts count="2">
    <numFmt numFmtId="164" formatCode="#,##0.0000"/>
    <numFmt numFmtId="165" formatCode="0.0000"/>
  </numFmts>
  <fonts count="13">
    <font>
      <sz val="10"/>
      <name val="Arial"/>
    </font>
    <font>
      <sz val="10"/>
      <name val="Book Antiqua"/>
      <family val="1"/>
      <charset val="238"/>
    </font>
    <font>
      <b/>
      <sz val="10"/>
      <name val="Book Antiqua"/>
      <family val="1"/>
      <charset val="238"/>
    </font>
    <font>
      <b/>
      <vertAlign val="subscript"/>
      <sz val="10"/>
      <name val="Book Antiqua"/>
      <family val="1"/>
      <charset val="238"/>
    </font>
    <font>
      <u/>
      <sz val="10"/>
      <name val="Book Antiqua"/>
      <family val="1"/>
      <charset val="238"/>
    </font>
    <font>
      <sz val="10"/>
      <name val="Arial"/>
    </font>
    <font>
      <sz val="11"/>
      <color theme="1"/>
      <name val="Calibri"/>
      <family val="2"/>
      <charset val="238"/>
      <scheme val="minor"/>
    </font>
    <font>
      <b/>
      <sz val="8"/>
      <name val="Book Antiqua"/>
      <family val="1"/>
      <charset val="238"/>
    </font>
    <font>
      <i/>
      <sz val="8"/>
      <name val="Book Antiqua"/>
      <family val="1"/>
      <charset val="238"/>
    </font>
    <font>
      <i/>
      <sz val="10"/>
      <name val="Book Antiqua"/>
      <family val="1"/>
      <charset val="238"/>
    </font>
    <font>
      <sz val="8"/>
      <name val="Book Antiqua"/>
      <family val="1"/>
      <charset val="238"/>
    </font>
    <font>
      <sz val="10"/>
      <color theme="1"/>
      <name val="Book Antiqua"/>
      <family val="1"/>
      <charset val="238"/>
    </font>
    <font>
      <sz val="11"/>
      <color indexed="8"/>
      <name val="Book Antiqua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/>
    <xf numFmtId="0" fontId="6" fillId="0" borderId="4"/>
    <xf numFmtId="0" fontId="6" fillId="0" borderId="4"/>
  </cellStyleXfs>
  <cellXfs count="7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10" fontId="1" fillId="0" borderId="5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164" fontId="1" fillId="0" borderId="5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2" fontId="10" fillId="3" borderId="5" xfId="0" applyNumberFormat="1" applyFont="1" applyFill="1" applyBorder="1" applyAlignment="1">
      <alignment horizontal="center" vertical="center" wrapText="1"/>
    </xf>
    <xf numFmtId="9" fontId="10" fillId="3" borderId="5" xfId="1" applyFont="1" applyFill="1" applyBorder="1" applyAlignment="1">
      <alignment horizontal="center" vertical="center" wrapText="1"/>
    </xf>
    <xf numFmtId="165" fontId="10" fillId="3" borderId="5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 vertical="center"/>
    </xf>
    <xf numFmtId="0" fontId="1" fillId="3" borderId="4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2" fontId="8" fillId="3" borderId="0" xfId="0" applyNumberFormat="1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2" fillId="2" borderId="4" xfId="2" applyFont="1" applyFill="1" applyBorder="1" applyAlignment="1">
      <alignment horizontal="left" vertical="center"/>
    </xf>
    <xf numFmtId="0" fontId="2" fillId="2" borderId="4" xfId="2" applyFont="1" applyFill="1" applyBorder="1" applyAlignment="1">
      <alignment horizontal="center" vertical="center" wrapText="1"/>
    </xf>
    <xf numFmtId="2" fontId="10" fillId="0" borderId="5" xfId="0" applyNumberFormat="1" applyFont="1" applyFill="1" applyBorder="1" applyAlignment="1">
      <alignment horizontal="center" vertical="center" wrapText="1"/>
    </xf>
    <xf numFmtId="2" fontId="7" fillId="0" borderId="5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1" fillId="0" borderId="5" xfId="2" applyNumberFormat="1" applyFont="1" applyFill="1" applyBorder="1" applyAlignment="1">
      <alignment horizontal="center" vertical="center"/>
    </xf>
    <xf numFmtId="2" fontId="11" fillId="0" borderId="5" xfId="2" applyNumberFormat="1" applyFont="1" applyFill="1" applyBorder="1" applyAlignment="1">
      <alignment horizontal="center" vertical="center"/>
    </xf>
    <xf numFmtId="165" fontId="11" fillId="0" borderId="5" xfId="2" applyNumberFormat="1" applyFont="1" applyFill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 vertical="center"/>
    </xf>
    <xf numFmtId="4" fontId="2" fillId="2" borderId="5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4" fontId="2" fillId="5" borderId="5" xfId="0" applyNumberFormat="1" applyFont="1" applyFill="1" applyBorder="1" applyAlignment="1">
      <alignment horizontal="center" vertical="center"/>
    </xf>
    <xf numFmtId="10" fontId="2" fillId="5" borderId="5" xfId="0" applyNumberFormat="1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3" fontId="1" fillId="5" borderId="5" xfId="0" applyNumberFormat="1" applyFont="1" applyFill="1" applyBorder="1" applyAlignment="1">
      <alignment horizontal="center" vertical="center"/>
    </xf>
    <xf numFmtId="4" fontId="1" fillId="5" borderId="5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</cellXfs>
  <cellStyles count="4">
    <cellStyle name="Normalny" xfId="0" builtinId="0"/>
    <cellStyle name="Normalny 3" xfId="3"/>
    <cellStyle name="Normalny 4" xfId="2"/>
    <cellStyle name="Procentowy" xfId="1" builtinId="5"/>
  </cellStyles>
  <dxfs count="1">
    <dxf>
      <fill>
        <patternFill>
          <bgColor rgb="FFFF33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14</xdr:col>
      <xdr:colOff>411480</xdr:colOff>
      <xdr:row>56</xdr:row>
      <xdr:rowOff>144780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379220"/>
          <a:ext cx="11574780" cy="819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2:L46"/>
  <sheetViews>
    <sheetView zoomScale="70" zoomScaleNormal="70" workbookViewId="0">
      <selection activeCell="J26" sqref="J26"/>
    </sheetView>
  </sheetViews>
  <sheetFormatPr defaultColWidth="8.85546875" defaultRowHeight="13.5"/>
  <cols>
    <col min="1" max="1" width="4.85546875" style="1" customWidth="1"/>
    <col min="2" max="2" width="32.7109375" style="1" customWidth="1"/>
    <col min="3" max="3" width="15.7109375" style="1" customWidth="1"/>
    <col min="4" max="4" width="23.85546875" style="1" customWidth="1"/>
    <col min="5" max="5" width="20" style="1" customWidth="1"/>
    <col min="6" max="6" width="17.42578125" style="1" customWidth="1"/>
    <col min="7" max="7" width="18.5703125" style="1"/>
    <col min="8" max="8" width="13.5703125" style="1" customWidth="1"/>
    <col min="9" max="9" width="18.42578125" style="1" customWidth="1"/>
    <col min="10" max="10" width="15.28515625" style="1" customWidth="1"/>
    <col min="11" max="11" width="15.85546875" style="1" customWidth="1"/>
    <col min="12" max="12" width="16.5703125" style="1" customWidth="1"/>
    <col min="13" max="13" width="23.7109375" style="1" customWidth="1"/>
    <col min="14" max="16384" width="8.85546875" style="1"/>
  </cols>
  <sheetData>
    <row r="2" spans="2:12" ht="15">
      <c r="B2" s="60" t="s">
        <v>0</v>
      </c>
      <c r="C2" s="57" t="s">
        <v>1</v>
      </c>
      <c r="D2" s="61" t="s">
        <v>32</v>
      </c>
      <c r="E2" s="61" t="s">
        <v>31</v>
      </c>
      <c r="F2" s="61" t="s">
        <v>33</v>
      </c>
      <c r="G2" s="60" t="s">
        <v>2</v>
      </c>
      <c r="H2" s="60"/>
      <c r="I2" s="60"/>
      <c r="J2" s="60" t="s">
        <v>3</v>
      </c>
      <c r="K2" s="60"/>
      <c r="L2" s="60"/>
    </row>
    <row r="3" spans="2:12" ht="28.15" customHeight="1">
      <c r="B3" s="60"/>
      <c r="C3" s="57"/>
      <c r="D3" s="57"/>
      <c r="E3" s="57"/>
      <c r="F3" s="57"/>
      <c r="G3" s="11" t="s">
        <v>4</v>
      </c>
      <c r="H3" s="11" t="s">
        <v>5</v>
      </c>
      <c r="I3" s="11" t="s">
        <v>6</v>
      </c>
      <c r="J3" s="11" t="s">
        <v>7</v>
      </c>
      <c r="K3" s="11" t="s">
        <v>8</v>
      </c>
      <c r="L3" s="11" t="s">
        <v>9</v>
      </c>
    </row>
    <row r="4" spans="2:12" ht="15">
      <c r="B4" s="37" t="s">
        <v>88</v>
      </c>
      <c r="C4" s="32">
        <f>SUM(C8:C9)</f>
        <v>193</v>
      </c>
      <c r="D4" s="34">
        <f>OBLICZ!L5/1000</f>
        <v>2.1169233243536647</v>
      </c>
      <c r="E4" s="33">
        <f>F37</f>
        <v>22.61</v>
      </c>
      <c r="F4" s="7">
        <f>ROUND(C4*D4*E4,2)</f>
        <v>9237.68</v>
      </c>
      <c r="G4" s="7">
        <v>380</v>
      </c>
      <c r="H4" s="7">
        <v>160</v>
      </c>
      <c r="I4" s="7">
        <v>104</v>
      </c>
      <c r="J4" s="13">
        <f>F4*G4/1000000</f>
        <v>3.5103184000000001</v>
      </c>
      <c r="K4" s="13">
        <f>F4*H4/1000000</f>
        <v>1.4780288000000001</v>
      </c>
      <c r="L4" s="13">
        <f>F4*I4/1000</f>
        <v>960.71871999999996</v>
      </c>
    </row>
    <row r="6" spans="2:12" ht="13.9" customHeight="1">
      <c r="B6" s="60" t="s">
        <v>10</v>
      </c>
      <c r="C6" s="57" t="s">
        <v>1</v>
      </c>
      <c r="D6" s="61" t="s">
        <v>34</v>
      </c>
      <c r="E6" s="61" t="s">
        <v>35</v>
      </c>
      <c r="F6" s="61" t="s">
        <v>33</v>
      </c>
      <c r="G6" s="60" t="s">
        <v>2</v>
      </c>
      <c r="H6" s="60"/>
      <c r="I6" s="60"/>
      <c r="J6" s="60" t="s">
        <v>3</v>
      </c>
      <c r="K6" s="60"/>
      <c r="L6" s="60"/>
    </row>
    <row r="7" spans="2:12" ht="34.15" customHeight="1">
      <c r="B7" s="60"/>
      <c r="C7" s="57"/>
      <c r="D7" s="57"/>
      <c r="E7" s="57"/>
      <c r="F7" s="57"/>
      <c r="G7" s="11" t="s">
        <v>4</v>
      </c>
      <c r="H7" s="11" t="s">
        <v>5</v>
      </c>
      <c r="I7" s="11" t="s">
        <v>6</v>
      </c>
      <c r="J7" s="11" t="s">
        <v>7</v>
      </c>
      <c r="K7" s="11" t="s">
        <v>8</v>
      </c>
      <c r="L7" s="11" t="s">
        <v>11</v>
      </c>
    </row>
    <row r="8" spans="2:12" ht="28.5">
      <c r="B8" s="8" t="s">
        <v>87</v>
      </c>
      <c r="C8" s="6">
        <v>20</v>
      </c>
      <c r="D8" s="35">
        <f>OBLICZ!L8</f>
        <v>978.84936396702881</v>
      </c>
      <c r="E8" s="6">
        <f>F40</f>
        <v>36.03</v>
      </c>
      <c r="F8" s="7">
        <f>ROUND(C8*D8*E8,2)</f>
        <v>705358.85</v>
      </c>
      <c r="G8" s="7">
        <v>0.2</v>
      </c>
      <c r="H8" s="7">
        <v>0.2</v>
      </c>
      <c r="I8" s="7">
        <v>52</v>
      </c>
      <c r="J8" s="13">
        <f>F8*G8/1000000/1000</f>
        <v>1.4107176999999998E-4</v>
      </c>
      <c r="K8" s="13">
        <f>F8*H8/1000000/1000</f>
        <v>1.4107176999999998E-4</v>
      </c>
      <c r="L8" s="13">
        <f>F8*I8/1000000</f>
        <v>36.678660199999996</v>
      </c>
    </row>
    <row r="9" spans="2:12" ht="43.5">
      <c r="B9" s="8" t="s">
        <v>86</v>
      </c>
      <c r="C9" s="7">
        <v>173</v>
      </c>
      <c r="D9" s="35">
        <f>OBLICZ!L7</f>
        <v>2386.3636363636356</v>
      </c>
      <c r="E9" s="7">
        <f>F38</f>
        <v>15.6</v>
      </c>
      <c r="F9" s="7">
        <f>ROUND(C9*D9*E9,2)/1000</f>
        <v>6440.3181799999993</v>
      </c>
      <c r="G9" s="7">
        <v>19</v>
      </c>
      <c r="H9" s="7">
        <v>19</v>
      </c>
      <c r="I9" s="7">
        <v>0</v>
      </c>
      <c r="J9" s="13">
        <f>F9*G9/1000000</f>
        <v>0.12236604541999999</v>
      </c>
      <c r="K9" s="13">
        <f>F9*H9/1000000</f>
        <v>0.12236604541999999</v>
      </c>
      <c r="L9" s="13">
        <f>F9*I9/1000</f>
        <v>0</v>
      </c>
    </row>
    <row r="10" spans="2:12" ht="15">
      <c r="B10" s="54"/>
      <c r="C10" s="54"/>
      <c r="D10" s="54"/>
      <c r="E10" s="54"/>
      <c r="F10" s="54"/>
      <c r="G10" s="54"/>
      <c r="H10" s="54"/>
      <c r="I10" s="6" t="s">
        <v>12</v>
      </c>
      <c r="J10" s="13">
        <f>SUM(J8:J9)</f>
        <v>0.12250711718999999</v>
      </c>
      <c r="K10" s="13">
        <f>SUM(K8:K9)</f>
        <v>0.12250711718999999</v>
      </c>
      <c r="L10" s="13">
        <f>SUM(L8:L9)</f>
        <v>36.678660199999996</v>
      </c>
    </row>
    <row r="11" spans="2:12" ht="15">
      <c r="B11" s="3"/>
      <c r="C11" s="55"/>
      <c r="D11" s="55"/>
      <c r="E11" s="54"/>
      <c r="F11" s="55"/>
      <c r="G11" s="55"/>
      <c r="H11" s="54"/>
      <c r="I11" s="6" t="s">
        <v>13</v>
      </c>
      <c r="J11" s="13">
        <f>J4-J10</f>
        <v>3.38781128281</v>
      </c>
      <c r="K11" s="13">
        <f>K4-K10</f>
        <v>1.3555216828100001</v>
      </c>
      <c r="L11" s="13">
        <f>L4-L10</f>
        <v>924.04005979999999</v>
      </c>
    </row>
    <row r="12" spans="2:12" ht="15">
      <c r="B12" s="10"/>
      <c r="C12" s="54"/>
      <c r="D12" s="55"/>
      <c r="E12" s="54"/>
      <c r="F12" s="55"/>
      <c r="G12" s="55"/>
      <c r="H12" s="54"/>
      <c r="I12" s="8" t="s">
        <v>14</v>
      </c>
      <c r="J12" s="9">
        <f>J11/J4</f>
        <v>0.96510085319041139</v>
      </c>
      <c r="K12" s="9">
        <f>K11/K4</f>
        <v>0.91711452632722712</v>
      </c>
      <c r="L12" s="9">
        <f>L11/L4</f>
        <v>0.96182164515332857</v>
      </c>
    </row>
    <row r="14" spans="2:12" ht="15">
      <c r="B14" s="60" t="s">
        <v>0</v>
      </c>
      <c r="C14" s="57" t="s">
        <v>1</v>
      </c>
      <c r="D14" s="61" t="s">
        <v>32</v>
      </c>
      <c r="E14" s="61" t="s">
        <v>31</v>
      </c>
      <c r="F14" s="61" t="s">
        <v>33</v>
      </c>
      <c r="G14" s="60" t="s">
        <v>2</v>
      </c>
      <c r="H14" s="60"/>
      <c r="I14" s="60"/>
      <c r="J14" s="60" t="s">
        <v>3</v>
      </c>
      <c r="K14" s="60"/>
      <c r="L14" s="60"/>
    </row>
    <row r="15" spans="2:12" ht="28.15" customHeight="1">
      <c r="B15" s="60"/>
      <c r="C15" s="57"/>
      <c r="D15" s="57"/>
      <c r="E15" s="57"/>
      <c r="F15" s="57"/>
      <c r="G15" s="11" t="s">
        <v>4</v>
      </c>
      <c r="H15" s="11" t="s">
        <v>5</v>
      </c>
      <c r="I15" s="11" t="s">
        <v>6</v>
      </c>
      <c r="J15" s="11" t="s">
        <v>7</v>
      </c>
      <c r="K15" s="11" t="s">
        <v>8</v>
      </c>
      <c r="L15" s="11" t="s">
        <v>9</v>
      </c>
    </row>
    <row r="16" spans="2:12" ht="15">
      <c r="B16" s="37" t="s">
        <v>88</v>
      </c>
      <c r="C16" s="7">
        <v>57</v>
      </c>
      <c r="D16" s="7">
        <v>5.52</v>
      </c>
      <c r="E16" s="7">
        <f>F37</f>
        <v>22.61</v>
      </c>
      <c r="F16" s="7">
        <f>ROUND(C16*D16*E16,2)</f>
        <v>7114.01</v>
      </c>
      <c r="G16" s="7">
        <v>380</v>
      </c>
      <c r="H16" s="7">
        <v>160</v>
      </c>
      <c r="I16" s="7">
        <v>104</v>
      </c>
      <c r="J16" s="13">
        <f>F16*G16/1000000</f>
        <v>2.7033238000000002</v>
      </c>
      <c r="K16" s="13">
        <f>F16*H16/1000000</f>
        <v>1.1382416000000002</v>
      </c>
      <c r="L16" s="13">
        <f>F16*I16/1000</f>
        <v>739.85703999999998</v>
      </c>
    </row>
    <row r="18" spans="2:12" ht="13.9" customHeight="1">
      <c r="B18" s="60" t="s">
        <v>10</v>
      </c>
      <c r="C18" s="57" t="s">
        <v>1</v>
      </c>
      <c r="D18" s="61" t="s">
        <v>34</v>
      </c>
      <c r="E18" s="61" t="s">
        <v>35</v>
      </c>
      <c r="F18" s="61" t="s">
        <v>33</v>
      </c>
      <c r="G18" s="60" t="s">
        <v>2</v>
      </c>
      <c r="H18" s="60"/>
      <c r="I18" s="60"/>
      <c r="J18" s="60" t="s">
        <v>3</v>
      </c>
      <c r="K18" s="60"/>
      <c r="L18" s="60"/>
    </row>
    <row r="19" spans="2:12" ht="34.15" customHeight="1">
      <c r="B19" s="60"/>
      <c r="C19" s="57"/>
      <c r="D19" s="57"/>
      <c r="E19" s="57"/>
      <c r="F19" s="57"/>
      <c r="G19" s="11" t="s">
        <v>4</v>
      </c>
      <c r="H19" s="11" t="s">
        <v>5</v>
      </c>
      <c r="I19" s="11" t="s">
        <v>6</v>
      </c>
      <c r="J19" s="11" t="s">
        <v>7</v>
      </c>
      <c r="K19" s="11" t="s">
        <v>8</v>
      </c>
      <c r="L19" s="11" t="s">
        <v>11</v>
      </c>
    </row>
    <row r="20" spans="2:12" ht="43.5">
      <c r="B20" s="8" t="s">
        <v>85</v>
      </c>
      <c r="C20" s="7">
        <v>57</v>
      </c>
      <c r="D20" s="7">
        <v>3.61</v>
      </c>
      <c r="E20" s="7">
        <f>F37</f>
        <v>22.61</v>
      </c>
      <c r="F20" s="7">
        <f>ROUND(C20*D20*E20,2)</f>
        <v>4652.46</v>
      </c>
      <c r="G20" s="7">
        <v>20</v>
      </c>
      <c r="H20" s="7">
        <v>19</v>
      </c>
      <c r="I20" s="7">
        <v>92</v>
      </c>
      <c r="J20" s="7">
        <f>F20*G20/1000000</f>
        <v>9.3049199999999999E-2</v>
      </c>
      <c r="K20" s="7">
        <f>F20*H20/1000000</f>
        <v>8.8396740000000001E-2</v>
      </c>
      <c r="L20" s="7">
        <f>F20*I20/1000</f>
        <v>428.02632</v>
      </c>
    </row>
    <row r="21" spans="2:12" ht="15">
      <c r="B21" s="54"/>
      <c r="C21" s="54"/>
      <c r="D21" s="54"/>
      <c r="E21" s="54"/>
      <c r="F21" s="54"/>
      <c r="G21" s="54"/>
      <c r="H21" s="54"/>
      <c r="I21" s="6" t="s">
        <v>12</v>
      </c>
      <c r="J21" s="7">
        <f>SUM(J20:J20)</f>
        <v>9.3049199999999999E-2</v>
      </c>
      <c r="K21" s="7">
        <f>SUM(K20:K20)</f>
        <v>8.8396740000000001E-2</v>
      </c>
      <c r="L21" s="7">
        <f>SUM(L20:L20)</f>
        <v>428.02632</v>
      </c>
    </row>
    <row r="22" spans="2:12" ht="15">
      <c r="B22" s="5"/>
      <c r="C22" s="55"/>
      <c r="D22" s="55"/>
      <c r="E22" s="54"/>
      <c r="F22" s="55"/>
      <c r="G22" s="55"/>
      <c r="H22" s="54"/>
      <c r="I22" s="6" t="s">
        <v>13</v>
      </c>
      <c r="J22" s="7">
        <f>J16-J21</f>
        <v>2.6102746000000003</v>
      </c>
      <c r="K22" s="7">
        <f>K16-K21</f>
        <v>1.0498448600000001</v>
      </c>
      <c r="L22" s="7">
        <f>L16-L21</f>
        <v>311.83071999999999</v>
      </c>
    </row>
    <row r="23" spans="2:12" ht="15">
      <c r="B23" s="10"/>
      <c r="C23" s="54"/>
      <c r="D23" s="55"/>
      <c r="E23" s="54"/>
      <c r="F23" s="55"/>
      <c r="G23" s="55"/>
      <c r="H23" s="54"/>
      <c r="I23" s="8" t="s">
        <v>14</v>
      </c>
      <c r="J23" s="9">
        <f>J22/J16</f>
        <v>0.96557970599008536</v>
      </c>
      <c r="K23" s="9">
        <f>K22/K16</f>
        <v>0.92233921164012977</v>
      </c>
      <c r="L23" s="9">
        <f>L22/L16</f>
        <v>0.42147428914104812</v>
      </c>
    </row>
    <row r="24" spans="2:12" ht="13.9" customHeight="1">
      <c r="B24" s="43" t="s">
        <v>79</v>
      </c>
      <c r="F24" s="36"/>
    </row>
    <row r="25" spans="2:12" ht="15">
      <c r="B25" s="56" t="s">
        <v>80</v>
      </c>
      <c r="C25" s="57" t="s">
        <v>1</v>
      </c>
      <c r="D25" s="58"/>
      <c r="E25" s="60" t="s">
        <v>3</v>
      </c>
      <c r="F25" s="60"/>
      <c r="G25" s="60"/>
    </row>
    <row r="26" spans="2:12" ht="28.15" customHeight="1">
      <c r="B26" s="56"/>
      <c r="C26" s="57"/>
      <c r="D26" s="59"/>
      <c r="E26" s="11" t="s">
        <v>7</v>
      </c>
      <c r="F26" s="11" t="s">
        <v>8</v>
      </c>
      <c r="G26" s="11" t="s">
        <v>9</v>
      </c>
    </row>
    <row r="27" spans="2:12" ht="15">
      <c r="B27" s="37" t="s">
        <v>88</v>
      </c>
      <c r="C27" s="7">
        <f>C4+C16</f>
        <v>250</v>
      </c>
      <c r="D27" s="42" t="s">
        <v>83</v>
      </c>
      <c r="E27" s="13">
        <f>J4+J16</f>
        <v>6.2136422000000007</v>
      </c>
      <c r="F27" s="13">
        <f>K4+K16</f>
        <v>2.6162704000000003</v>
      </c>
      <c r="G27" s="13">
        <f>L4+L16</f>
        <v>1700.5757599999999</v>
      </c>
      <c r="H27" s="36"/>
    </row>
    <row r="28" spans="2:12" ht="30">
      <c r="B28" s="53" t="s">
        <v>120</v>
      </c>
      <c r="C28" s="7">
        <f>C8+C9+C20</f>
        <v>250</v>
      </c>
      <c r="D28" s="42" t="s">
        <v>84</v>
      </c>
      <c r="E28" s="13">
        <f>J10+J21</f>
        <v>0.21555631718999999</v>
      </c>
      <c r="F28" s="13">
        <f>K10+K21</f>
        <v>0.21090385718999999</v>
      </c>
      <c r="G28" s="13">
        <f>L10+L21</f>
        <v>464.70498020000002</v>
      </c>
      <c r="H28" s="36"/>
    </row>
    <row r="29" spans="2:12" ht="15">
      <c r="D29" s="6" t="s">
        <v>13</v>
      </c>
      <c r="E29" s="40">
        <f>E27-E28</f>
        <v>5.9980858828100008</v>
      </c>
      <c r="F29" s="40">
        <f>F27-F28</f>
        <v>2.4053665428100004</v>
      </c>
      <c r="G29" s="40">
        <f>G27-G28</f>
        <v>1235.8707798</v>
      </c>
    </row>
    <row r="30" spans="2:12" ht="15">
      <c r="D30" s="8" t="s">
        <v>14</v>
      </c>
      <c r="E30" s="41">
        <f>E29/E27</f>
        <v>0.96530918417059808</v>
      </c>
      <c r="F30" s="41">
        <f>F29/F27</f>
        <v>0.91938759189799346</v>
      </c>
      <c r="G30" s="41">
        <f t="shared" ref="G30" si="0">G29/G27</f>
        <v>0.72673667875872816</v>
      </c>
    </row>
    <row r="31" spans="2:12">
      <c r="I31" s="10"/>
      <c r="J31" s="38"/>
      <c r="K31" s="38"/>
      <c r="L31" s="38"/>
    </row>
    <row r="34" spans="2:7">
      <c r="B34" s="6" t="s">
        <v>15</v>
      </c>
      <c r="C34" s="6" t="s">
        <v>16</v>
      </c>
      <c r="D34" s="6" t="s">
        <v>17</v>
      </c>
      <c r="E34" s="6" t="s">
        <v>18</v>
      </c>
      <c r="F34" s="6" t="s">
        <v>19</v>
      </c>
      <c r="G34" s="6" t="s">
        <v>20</v>
      </c>
    </row>
    <row r="35" spans="2:7">
      <c r="B35" s="6" t="s">
        <v>21</v>
      </c>
      <c r="C35" s="7">
        <v>93.74</v>
      </c>
      <c r="D35" s="7">
        <v>110.55</v>
      </c>
      <c r="E35" s="7">
        <v>56.1</v>
      </c>
      <c r="F35" s="7">
        <v>77.400000000000006</v>
      </c>
      <c r="G35" s="7">
        <v>0</v>
      </c>
    </row>
    <row r="37" spans="2:7" ht="15">
      <c r="B37" s="2" t="s">
        <v>22</v>
      </c>
      <c r="E37" s="6" t="s">
        <v>26</v>
      </c>
      <c r="F37" s="7">
        <v>22.61</v>
      </c>
      <c r="G37" s="6" t="s">
        <v>27</v>
      </c>
    </row>
    <row r="38" spans="2:7" ht="15">
      <c r="B38" s="2" t="s">
        <v>23</v>
      </c>
      <c r="E38" s="6" t="s">
        <v>28</v>
      </c>
      <c r="F38" s="7">
        <v>15.6</v>
      </c>
      <c r="G38" s="6" t="s">
        <v>27</v>
      </c>
    </row>
    <row r="39" spans="2:7">
      <c r="E39" s="6" t="s">
        <v>29</v>
      </c>
      <c r="F39" s="7">
        <v>48</v>
      </c>
      <c r="G39" s="6" t="s">
        <v>27</v>
      </c>
    </row>
    <row r="40" spans="2:7">
      <c r="B40" s="4" t="s">
        <v>24</v>
      </c>
      <c r="E40" s="6" t="s">
        <v>29</v>
      </c>
      <c r="F40" s="7">
        <v>36.03</v>
      </c>
      <c r="G40" s="6" t="s">
        <v>30</v>
      </c>
    </row>
    <row r="41" spans="2:7">
      <c r="B41" s="12" t="s">
        <v>25</v>
      </c>
    </row>
    <row r="43" spans="2:7">
      <c r="B43" s="3"/>
      <c r="G43" s="3"/>
    </row>
    <row r="44" spans="2:7">
      <c r="B44" s="3"/>
      <c r="G44" s="3"/>
    </row>
    <row r="45" spans="2:7">
      <c r="B45" s="3"/>
      <c r="G45" s="3"/>
    </row>
    <row r="46" spans="2:7">
      <c r="B46" s="3"/>
      <c r="G46" s="3"/>
    </row>
  </sheetData>
  <mergeCells count="38">
    <mergeCell ref="B10:H10"/>
    <mergeCell ref="C11:H11"/>
    <mergeCell ref="C12:H12"/>
    <mergeCell ref="E2:E3"/>
    <mergeCell ref="E6:E7"/>
    <mergeCell ref="J2:L2"/>
    <mergeCell ref="B6:B7"/>
    <mergeCell ref="C6:C7"/>
    <mergeCell ref="D6:D7"/>
    <mergeCell ref="F6:F7"/>
    <mergeCell ref="G6:I6"/>
    <mergeCell ref="J6:L6"/>
    <mergeCell ref="B2:B3"/>
    <mergeCell ref="C2:C3"/>
    <mergeCell ref="D2:D3"/>
    <mergeCell ref="F2:F3"/>
    <mergeCell ref="G2:I2"/>
    <mergeCell ref="F14:F15"/>
    <mergeCell ref="G14:I14"/>
    <mergeCell ref="J14:L14"/>
    <mergeCell ref="B18:B19"/>
    <mergeCell ref="C18:C19"/>
    <mergeCell ref="D18:D19"/>
    <mergeCell ref="E18:E19"/>
    <mergeCell ref="F18:F19"/>
    <mergeCell ref="G18:I18"/>
    <mergeCell ref="B14:B15"/>
    <mergeCell ref="C14:C15"/>
    <mergeCell ref="D14:D15"/>
    <mergeCell ref="E14:E15"/>
    <mergeCell ref="J18:L18"/>
    <mergeCell ref="B21:H21"/>
    <mergeCell ref="C22:H22"/>
    <mergeCell ref="C23:H23"/>
    <mergeCell ref="B25:B26"/>
    <mergeCell ref="C25:C26"/>
    <mergeCell ref="D25:D26"/>
    <mergeCell ref="E25:G25"/>
  </mergeCells>
  <pageMargins left="0.7" right="0.7" top="0.75" bottom="0.75" header="0.3" footer="0.3"/>
  <pageSetup paperSize="9" scale="6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T16"/>
  <sheetViews>
    <sheetView tabSelected="1" zoomScale="85" zoomScaleNormal="85" workbookViewId="0">
      <selection activeCell="B17" sqref="B17"/>
    </sheetView>
  </sheetViews>
  <sheetFormatPr defaultColWidth="0" defaultRowHeight="13.5"/>
  <cols>
    <col min="1" max="1" width="4.28515625" style="14" customWidth="1"/>
    <col min="2" max="2" width="36.85546875" style="14" customWidth="1"/>
    <col min="3" max="3" width="25" style="24" customWidth="1"/>
    <col min="4" max="4" width="13.5703125" style="24" bestFit="1" customWidth="1"/>
    <col min="5" max="6" width="9.85546875" style="24" customWidth="1"/>
    <col min="7" max="7" width="10" style="24" customWidth="1"/>
    <col min="8" max="8" width="9.85546875" style="24" customWidth="1"/>
    <col min="9" max="9" width="11.85546875" style="24" customWidth="1"/>
    <col min="10" max="10" width="12.28515625" style="24" bestFit="1" customWidth="1"/>
    <col min="11" max="11" width="10" style="24" customWidth="1"/>
    <col min="12" max="12" width="8.28515625" style="24" customWidth="1"/>
    <col min="13" max="13" width="10.42578125" style="24" customWidth="1"/>
    <col min="14" max="14" width="10.7109375" style="24" bestFit="1" customWidth="1"/>
    <col min="15" max="15" width="11" style="24" customWidth="1"/>
    <col min="16" max="16" width="9.28515625" style="24" bestFit="1" customWidth="1"/>
    <col min="17" max="18" width="12.42578125" style="24" customWidth="1"/>
    <col min="19" max="19" width="11.85546875" style="24" customWidth="1"/>
    <col min="20" max="20" width="0" style="14" hidden="1" customWidth="1"/>
    <col min="21" max="16384" width="9.140625" style="14" hidden="1"/>
  </cols>
  <sheetData>
    <row r="2" spans="1:19" s="19" customFormat="1" ht="15">
      <c r="B2" s="27" t="s">
        <v>78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</row>
    <row r="3" spans="1:19" ht="81">
      <c r="B3" s="25"/>
      <c r="C3" s="25" t="s">
        <v>36</v>
      </c>
      <c r="D3" s="25" t="s">
        <v>37</v>
      </c>
      <c r="E3" s="25" t="s">
        <v>38</v>
      </c>
      <c r="F3" s="25" t="s">
        <v>39</v>
      </c>
      <c r="G3" s="25" t="s">
        <v>40</v>
      </c>
      <c r="H3" s="25" t="s">
        <v>41</v>
      </c>
      <c r="I3" s="25" t="s">
        <v>42</v>
      </c>
      <c r="J3" s="25" t="s">
        <v>43</v>
      </c>
      <c r="K3" s="25" t="s">
        <v>43</v>
      </c>
      <c r="L3" s="25" t="s">
        <v>44</v>
      </c>
      <c r="M3" s="25" t="s">
        <v>45</v>
      </c>
      <c r="N3" s="25" t="s">
        <v>46</v>
      </c>
      <c r="O3" s="25" t="s">
        <v>47</v>
      </c>
      <c r="P3" s="25" t="s">
        <v>48</v>
      </c>
      <c r="Q3" s="25" t="s">
        <v>49</v>
      </c>
      <c r="R3" s="25" t="s">
        <v>119</v>
      </c>
      <c r="S3" s="25" t="s">
        <v>50</v>
      </c>
    </row>
    <row r="4" spans="1:19" s="20" customFormat="1" ht="27">
      <c r="A4" s="39"/>
      <c r="B4" s="26"/>
      <c r="C4" s="26" t="s">
        <v>51</v>
      </c>
      <c r="D4" s="26" t="s">
        <v>52</v>
      </c>
      <c r="E4" s="26" t="s">
        <v>51</v>
      </c>
      <c r="F4" s="26" t="s">
        <v>53</v>
      </c>
      <c r="G4" s="26" t="s">
        <v>51</v>
      </c>
      <c r="H4" s="26" t="s">
        <v>54</v>
      </c>
      <c r="I4" s="26" t="s">
        <v>55</v>
      </c>
      <c r="J4" s="26" t="s">
        <v>56</v>
      </c>
      <c r="K4" s="26" t="s">
        <v>57</v>
      </c>
      <c r="L4" s="26" t="s">
        <v>58</v>
      </c>
      <c r="M4" s="26" t="s">
        <v>59</v>
      </c>
      <c r="N4" s="26" t="s">
        <v>60</v>
      </c>
      <c r="O4" s="26"/>
      <c r="P4" s="26" t="s">
        <v>60</v>
      </c>
      <c r="Q4" s="26" t="s">
        <v>60</v>
      </c>
      <c r="R4" s="26" t="s">
        <v>21</v>
      </c>
      <c r="S4" s="26"/>
    </row>
    <row r="5" spans="1:19">
      <c r="B5" s="15" t="s">
        <v>61</v>
      </c>
      <c r="C5" s="15">
        <v>150</v>
      </c>
      <c r="D5" s="15">
        <v>1.1000000000000001</v>
      </c>
      <c r="E5" s="30">
        <f>C5/D5</f>
        <v>136.36363636363635</v>
      </c>
      <c r="F5" s="16">
        <v>0.7</v>
      </c>
      <c r="G5" s="15">
        <f>E5*F5</f>
        <v>95.454545454545439</v>
      </c>
      <c r="H5" s="15">
        <v>22.61</v>
      </c>
      <c r="I5" s="29">
        <v>97.5</v>
      </c>
      <c r="J5" s="15">
        <f>I5*E5</f>
        <v>13295.454545454544</v>
      </c>
      <c r="K5" s="15">
        <f>J5*3.6/1000</f>
        <v>47.86363636363636</v>
      </c>
      <c r="L5" s="15">
        <f>K5/H5*1000</f>
        <v>2116.9233243536646</v>
      </c>
      <c r="M5" s="29">
        <f>SUM(M7:M10)</f>
        <v>193</v>
      </c>
      <c r="N5" s="15">
        <v>600</v>
      </c>
      <c r="O5" s="15" t="s">
        <v>62</v>
      </c>
      <c r="P5" s="15">
        <f>L5/1000*N5</f>
        <v>1270.1539946121989</v>
      </c>
      <c r="Q5" s="15">
        <f>P5*M5</f>
        <v>245139.72096015437</v>
      </c>
      <c r="R5" s="15">
        <v>104</v>
      </c>
      <c r="S5" s="15" t="s">
        <v>63</v>
      </c>
    </row>
    <row r="6" spans="1:19">
      <c r="B6" s="15" t="s">
        <v>64</v>
      </c>
      <c r="C6" s="15">
        <v>95.45</v>
      </c>
      <c r="D6" s="15">
        <v>1.3</v>
      </c>
      <c r="E6" s="30">
        <f>G6/F6</f>
        <v>95.454545454545439</v>
      </c>
      <c r="F6" s="16">
        <v>1</v>
      </c>
      <c r="G6" s="15">
        <f>G5</f>
        <v>95.454545454545439</v>
      </c>
      <c r="H6" s="15">
        <v>1</v>
      </c>
      <c r="I6" s="15">
        <f>$I$5</f>
        <v>97.5</v>
      </c>
      <c r="J6" s="15">
        <f>I6*E6</f>
        <v>9306.8181818181802</v>
      </c>
      <c r="K6" s="15">
        <f>J6/1000*3.6</f>
        <v>33.50454545454545</v>
      </c>
      <c r="L6" s="15">
        <f>K6*H6</f>
        <v>33.50454545454545</v>
      </c>
      <c r="M6" s="29">
        <v>0</v>
      </c>
      <c r="N6" s="15">
        <f>(16.15+24.82)*1.23</f>
        <v>50.393099999999997</v>
      </c>
      <c r="O6" s="15" t="s">
        <v>65</v>
      </c>
      <c r="P6" s="15">
        <f>L6*N6</f>
        <v>1688.3979095454542</v>
      </c>
      <c r="Q6" s="15">
        <f t="shared" ref="Q6:Q9" si="0">P6*M6</f>
        <v>0</v>
      </c>
      <c r="R6" s="15">
        <v>93.74</v>
      </c>
      <c r="S6" s="15" t="s">
        <v>66</v>
      </c>
    </row>
    <row r="7" spans="1:19" ht="25.5">
      <c r="B7" s="15" t="s">
        <v>67</v>
      </c>
      <c r="C7" s="15">
        <f t="shared" ref="C7:C9" si="1">E7*D7</f>
        <v>21.212121212121207</v>
      </c>
      <c r="D7" s="15">
        <v>0.2</v>
      </c>
      <c r="E7" s="30">
        <f>G7/F7</f>
        <v>106.06060606060603</v>
      </c>
      <c r="F7" s="16">
        <v>0.9</v>
      </c>
      <c r="G7" s="15">
        <f>G5</f>
        <v>95.454545454545439</v>
      </c>
      <c r="H7" s="15">
        <v>15.6</v>
      </c>
      <c r="I7" s="15">
        <f t="shared" ref="I7:I9" si="2">$I$5</f>
        <v>97.5</v>
      </c>
      <c r="J7" s="15">
        <f t="shared" ref="J7" si="3">I7*E7</f>
        <v>10340.909090909088</v>
      </c>
      <c r="K7" s="15">
        <f t="shared" ref="K7:K8" si="4">J7*3.6/1000</f>
        <v>37.22727272727272</v>
      </c>
      <c r="L7" s="15">
        <f t="shared" ref="L7:L8" si="5">K7/H7*1000</f>
        <v>2386.3636363636356</v>
      </c>
      <c r="M7" s="29">
        <v>173</v>
      </c>
      <c r="N7" s="15">
        <v>400</v>
      </c>
      <c r="O7" s="15" t="s">
        <v>62</v>
      </c>
      <c r="P7" s="15">
        <f>L7/1000*N7</f>
        <v>954.54545454545428</v>
      </c>
      <c r="Q7" s="15">
        <f>P7*M7</f>
        <v>165136.36363636359</v>
      </c>
      <c r="R7" s="15">
        <v>0</v>
      </c>
      <c r="S7" s="15" t="s">
        <v>66</v>
      </c>
    </row>
    <row r="8" spans="1:19" ht="25.5">
      <c r="B8" s="15" t="s">
        <v>68</v>
      </c>
      <c r="C8" s="15">
        <f t="shared" si="1"/>
        <v>110.52631578947367</v>
      </c>
      <c r="D8" s="15">
        <v>1.1000000000000001</v>
      </c>
      <c r="E8" s="30">
        <f>G8/F8</f>
        <v>100.47846889952152</v>
      </c>
      <c r="F8" s="16">
        <v>0.95</v>
      </c>
      <c r="G8" s="15">
        <f>G5</f>
        <v>95.454545454545439</v>
      </c>
      <c r="H8" s="15">
        <v>36.03</v>
      </c>
      <c r="I8" s="15">
        <f t="shared" si="2"/>
        <v>97.5</v>
      </c>
      <c r="J8" s="15">
        <f>I8*E8</f>
        <v>9796.6507177033473</v>
      </c>
      <c r="K8" s="15">
        <f t="shared" si="4"/>
        <v>35.267942583732051</v>
      </c>
      <c r="L8" s="15">
        <f t="shared" si="5"/>
        <v>978.84936396702881</v>
      </c>
      <c r="M8" s="29">
        <v>20</v>
      </c>
      <c r="N8" s="17">
        <v>0.15</v>
      </c>
      <c r="O8" s="15" t="s">
        <v>69</v>
      </c>
      <c r="P8" s="15">
        <f>J8*N8</f>
        <v>1469.497607655502</v>
      </c>
      <c r="Q8" s="15">
        <f t="shared" si="0"/>
        <v>29389.95215311004</v>
      </c>
      <c r="R8" s="15">
        <v>52</v>
      </c>
      <c r="S8" s="15" t="s">
        <v>66</v>
      </c>
    </row>
    <row r="9" spans="1:19">
      <c r="B9" s="15" t="s">
        <v>70</v>
      </c>
      <c r="C9" s="15">
        <f t="shared" si="1"/>
        <v>95.454545454545439</v>
      </c>
      <c r="D9" s="15">
        <v>3</v>
      </c>
      <c r="E9" s="30">
        <f t="shared" ref="E9" si="6">G9/F9</f>
        <v>31.818181818181813</v>
      </c>
      <c r="F9" s="16">
        <v>3</v>
      </c>
      <c r="G9" s="15">
        <f>G5</f>
        <v>95.454545454545439</v>
      </c>
      <c r="H9" s="15">
        <v>1</v>
      </c>
      <c r="I9" s="15">
        <f t="shared" si="2"/>
        <v>97.5</v>
      </c>
      <c r="J9" s="15">
        <f>E9*I9</f>
        <v>3102.2727272727266</v>
      </c>
      <c r="K9" s="15">
        <f>J9/1000*3.6</f>
        <v>11.168181818181816</v>
      </c>
      <c r="L9" s="15">
        <f>K9*H9</f>
        <v>11.168181818181816</v>
      </c>
      <c r="M9" s="29">
        <v>0</v>
      </c>
      <c r="N9" s="15">
        <v>171.52</v>
      </c>
      <c r="O9" s="15" t="s">
        <v>71</v>
      </c>
      <c r="P9" s="15">
        <f>L9/3.6*N9</f>
        <v>532.10181818181809</v>
      </c>
      <c r="Q9" s="15">
        <f t="shared" si="0"/>
        <v>0</v>
      </c>
      <c r="R9" s="15">
        <v>2993.4</v>
      </c>
      <c r="S9" s="15" t="s">
        <v>66</v>
      </c>
    </row>
    <row r="10" spans="1:19" s="21" customFormat="1">
      <c r="B10" s="18" t="s">
        <v>72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3">
        <f>SUM(Q6:Q9)</f>
        <v>194526.31578947362</v>
      </c>
      <c r="R10" s="22"/>
      <c r="S10" s="22"/>
    </row>
    <row r="11" spans="1:19" s="21" customFormat="1">
      <c r="B11" s="18" t="s">
        <v>73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</row>
    <row r="12" spans="1:19" s="21" customFormat="1">
      <c r="B12" s="18" t="s">
        <v>74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</row>
    <row r="13" spans="1:19" s="21" customFormat="1">
      <c r="B13" s="18" t="s">
        <v>75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</row>
    <row r="14" spans="1:19" s="21" customFormat="1">
      <c r="B14" s="18" t="s">
        <v>76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</row>
    <row r="15" spans="1:19">
      <c r="Q15" s="22"/>
      <c r="R15" s="22"/>
    </row>
    <row r="16" spans="1:19">
      <c r="I16" s="31"/>
      <c r="J16" s="31"/>
      <c r="K16" s="31"/>
    </row>
  </sheetData>
  <conditionalFormatting sqref="I5 M6:M9">
    <cfRule type="containsBlanks" dxfId="0" priority="1">
      <formula>LEN(TRIM(I5))=0</formula>
    </cfRule>
  </conditionalFormatting>
  <dataValidations count="1">
    <dataValidation type="list" allowBlank="1" showInputMessage="1" showErrorMessage="1" sqref="B5:B9">
      <formula1>#REF!</formula1>
    </dataValidation>
  </dataValidations>
  <pageMargins left="0.7" right="0.7" top="0.75" bottom="0.75" header="0.3" footer="0.3"/>
  <pageSetup paperSize="9" scale="5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3:L6"/>
  <sheetViews>
    <sheetView topLeftCell="A19" zoomScaleNormal="100" workbookViewId="0">
      <selection activeCell="C9" sqref="C9"/>
    </sheetView>
  </sheetViews>
  <sheetFormatPr defaultRowHeight="12.75"/>
  <cols>
    <col min="3" max="3" width="37.28515625" customWidth="1"/>
    <col min="4" max="4" width="19" customWidth="1"/>
    <col min="5" max="5" width="11.85546875" bestFit="1" customWidth="1"/>
    <col min="6" max="6" width="8.85546875" bestFit="1" customWidth="1"/>
    <col min="7" max="7" width="9" bestFit="1" customWidth="1"/>
    <col min="8" max="8" width="9.85546875" bestFit="1" customWidth="1"/>
    <col min="9" max="9" width="11.28515625" bestFit="1" customWidth="1"/>
    <col min="10" max="10" width="9.85546875" bestFit="1" customWidth="1"/>
    <col min="11" max="11" width="10.5703125" bestFit="1" customWidth="1"/>
    <col min="12" max="12" width="17.28515625" bestFit="1" customWidth="1"/>
  </cols>
  <sheetData>
    <row r="3" spans="2:12" s="1" customFormat="1" ht="13.5">
      <c r="B3" s="67" t="s">
        <v>101</v>
      </c>
      <c r="C3" s="66" t="s">
        <v>102</v>
      </c>
      <c r="D3" s="68" t="s">
        <v>103</v>
      </c>
      <c r="E3" s="62" t="s">
        <v>104</v>
      </c>
      <c r="F3" s="62" t="s">
        <v>105</v>
      </c>
      <c r="G3" s="62" t="s">
        <v>106</v>
      </c>
      <c r="H3" s="62" t="s">
        <v>107</v>
      </c>
      <c r="I3" s="64" t="s">
        <v>108</v>
      </c>
      <c r="J3" s="62" t="s">
        <v>109</v>
      </c>
      <c r="K3" s="62" t="s">
        <v>110</v>
      </c>
      <c r="L3" s="62" t="s">
        <v>111</v>
      </c>
    </row>
    <row r="4" spans="2:12" s="1" customFormat="1" ht="13.5">
      <c r="B4" s="67"/>
      <c r="C4" s="66"/>
      <c r="D4" s="69"/>
      <c r="E4" s="63"/>
      <c r="F4" s="63"/>
      <c r="G4" s="63"/>
      <c r="H4" s="63"/>
      <c r="I4" s="65"/>
      <c r="J4" s="63"/>
      <c r="K4" s="63"/>
      <c r="L4" s="63"/>
    </row>
    <row r="5" spans="2:12" s="1" customFormat="1" ht="13.5">
      <c r="B5" s="67"/>
      <c r="C5" s="66"/>
      <c r="D5" s="46" t="s">
        <v>95</v>
      </c>
      <c r="E5" s="6" t="s">
        <v>112</v>
      </c>
      <c r="F5" s="6" t="s">
        <v>113</v>
      </c>
      <c r="G5" s="6" t="s">
        <v>113</v>
      </c>
      <c r="H5" s="6" t="s">
        <v>113</v>
      </c>
      <c r="I5" s="46" t="s">
        <v>113</v>
      </c>
      <c r="J5" s="6" t="s">
        <v>113</v>
      </c>
      <c r="K5" s="6" t="s">
        <v>113</v>
      </c>
      <c r="L5" s="6" t="s">
        <v>113</v>
      </c>
    </row>
    <row r="6" spans="2:12" s="1" customFormat="1" ht="16.5">
      <c r="B6" s="6">
        <v>8</v>
      </c>
      <c r="C6" s="50" t="s">
        <v>114</v>
      </c>
      <c r="D6" s="51">
        <v>47362</v>
      </c>
      <c r="E6" s="49">
        <v>2819</v>
      </c>
      <c r="F6" s="44">
        <v>36083.199999999997</v>
      </c>
      <c r="G6" s="44">
        <v>2819</v>
      </c>
      <c r="H6" s="44">
        <v>126855</v>
      </c>
      <c r="I6" s="52">
        <v>5638000</v>
      </c>
      <c r="J6" s="44">
        <v>105712.5</v>
      </c>
      <c r="K6" s="44">
        <v>3523.75</v>
      </c>
      <c r="L6" s="44">
        <v>39.47</v>
      </c>
    </row>
  </sheetData>
  <mergeCells count="11">
    <mergeCell ref="G3:G4"/>
    <mergeCell ref="C3:C5"/>
    <mergeCell ref="B3:B5"/>
    <mergeCell ref="D3:D4"/>
    <mergeCell ref="E3:E4"/>
    <mergeCell ref="F3:F4"/>
    <mergeCell ref="H3:H4"/>
    <mergeCell ref="I3:I4"/>
    <mergeCell ref="J3:J4"/>
    <mergeCell ref="K3:K4"/>
    <mergeCell ref="L3:L4"/>
  </mergeCells>
  <pageMargins left="0.70866141732283472" right="0.70866141732283472" top="0.74803149606299213" bottom="0.74803149606299213" header="0.31496062992125984" footer="0.31496062992125984"/>
  <pageSetup paperSize="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3:J20"/>
  <sheetViews>
    <sheetView workbookViewId="0">
      <selection activeCell="E24" sqref="E24"/>
    </sheetView>
  </sheetViews>
  <sheetFormatPr defaultColWidth="8.85546875" defaultRowHeight="13.5"/>
  <cols>
    <col min="1" max="1" width="8.85546875" style="1"/>
    <col min="2" max="2" width="30.7109375" style="1" customWidth="1"/>
    <col min="3" max="3" width="12.7109375" style="1" customWidth="1"/>
    <col min="4" max="10" width="10.7109375" style="1" customWidth="1"/>
    <col min="11" max="16384" width="8.85546875" style="1"/>
  </cols>
  <sheetData>
    <row r="3" spans="2:10">
      <c r="B3" s="58" t="s">
        <v>97</v>
      </c>
      <c r="C3" s="60">
        <v>2014</v>
      </c>
      <c r="D3" s="60"/>
      <c r="E3" s="60">
        <v>2020</v>
      </c>
      <c r="F3" s="60"/>
      <c r="G3" s="71" t="s">
        <v>77</v>
      </c>
      <c r="H3" s="71"/>
      <c r="I3" s="72" t="s">
        <v>100</v>
      </c>
      <c r="J3" s="73"/>
    </row>
    <row r="4" spans="2:10">
      <c r="B4" s="74"/>
      <c r="C4" s="11" t="s">
        <v>94</v>
      </c>
      <c r="D4" s="11" t="s">
        <v>95</v>
      </c>
      <c r="E4" s="11" t="s">
        <v>94</v>
      </c>
      <c r="F4" s="11" t="s">
        <v>95</v>
      </c>
      <c r="G4" s="46" t="s">
        <v>94</v>
      </c>
      <c r="H4" s="46" t="s">
        <v>95</v>
      </c>
      <c r="I4" s="46" t="s">
        <v>98</v>
      </c>
      <c r="J4" s="46" t="s">
        <v>99</v>
      </c>
    </row>
    <row r="5" spans="2:10">
      <c r="B5" s="11" t="s">
        <v>89</v>
      </c>
      <c r="C5" s="44">
        <v>9177.68</v>
      </c>
      <c r="D5" s="44">
        <v>254083.15</v>
      </c>
      <c r="E5" s="44">
        <v>7582.19</v>
      </c>
      <c r="F5" s="44">
        <v>203266.52</v>
      </c>
      <c r="G5" s="44">
        <f>C5-E5</f>
        <v>1595.4900000000007</v>
      </c>
      <c r="H5" s="44">
        <f>D5-F5</f>
        <v>50816.630000000005</v>
      </c>
      <c r="I5" s="9">
        <f>G5/C5</f>
        <v>0.17384458817478934</v>
      </c>
      <c r="J5" s="9">
        <f>H5/D5</f>
        <v>0.2</v>
      </c>
    </row>
    <row r="6" spans="2:10">
      <c r="B6" s="11" t="s">
        <v>90</v>
      </c>
      <c r="C6" s="44">
        <v>16.53</v>
      </c>
      <c r="D6" s="44">
        <v>0</v>
      </c>
      <c r="E6" s="44">
        <v>20.190000000000001</v>
      </c>
      <c r="F6" s="44">
        <v>0</v>
      </c>
      <c r="G6" s="44">
        <f t="shared" ref="G6:G9" si="0">C6-E6</f>
        <v>-3.66</v>
      </c>
      <c r="H6" s="44">
        <f t="shared" ref="H6:H9" si="1">D6-F6</f>
        <v>0</v>
      </c>
      <c r="I6" s="9">
        <f t="shared" ref="I6:I9" si="2">G6/C6</f>
        <v>-0.22141560798548093</v>
      </c>
      <c r="J6" s="9">
        <v>0</v>
      </c>
    </row>
    <row r="7" spans="2:10">
      <c r="B7" s="11" t="s">
        <v>91</v>
      </c>
      <c r="C7" s="44">
        <v>1774.26</v>
      </c>
      <c r="D7" s="44">
        <v>1808.76</v>
      </c>
      <c r="E7" s="44">
        <v>1839.9</v>
      </c>
      <c r="F7" s="44">
        <v>2.17</v>
      </c>
      <c r="G7" s="44">
        <f t="shared" si="0"/>
        <v>-65.6400000000001</v>
      </c>
      <c r="H7" s="44">
        <f t="shared" si="1"/>
        <v>1806.59</v>
      </c>
      <c r="I7" s="9">
        <f t="shared" si="2"/>
        <v>-3.6995705251766993E-2</v>
      </c>
      <c r="J7" s="9">
        <f>H7/D7</f>
        <v>0.99880028306685242</v>
      </c>
    </row>
    <row r="8" spans="2:10">
      <c r="B8" s="11" t="s">
        <v>92</v>
      </c>
      <c r="C8" s="44">
        <v>84.67</v>
      </c>
      <c r="D8" s="44">
        <v>34628.6</v>
      </c>
      <c r="E8" s="44">
        <v>76.2</v>
      </c>
      <c r="F8" s="44">
        <v>27702.880000000001</v>
      </c>
      <c r="G8" s="44">
        <f t="shared" si="0"/>
        <v>8.4699999999999989</v>
      </c>
      <c r="H8" s="44">
        <f t="shared" si="1"/>
        <v>6925.7199999999975</v>
      </c>
      <c r="I8" s="9">
        <f t="shared" si="2"/>
        <v>0.10003543167591826</v>
      </c>
      <c r="J8" s="9">
        <f t="shared" ref="J8:J10" si="3">H8/D8</f>
        <v>0.19999999999999993</v>
      </c>
    </row>
    <row r="9" spans="2:10">
      <c r="B9" s="11" t="s">
        <v>93</v>
      </c>
      <c r="C9" s="44">
        <v>365.41</v>
      </c>
      <c r="D9" s="44">
        <v>1479.3876</v>
      </c>
      <c r="E9" s="44">
        <v>219.24</v>
      </c>
      <c r="F9" s="44">
        <v>887.63</v>
      </c>
      <c r="G9" s="44">
        <f t="shared" si="0"/>
        <v>146.17000000000002</v>
      </c>
      <c r="H9" s="44">
        <f t="shared" si="1"/>
        <v>591.75760000000002</v>
      </c>
      <c r="I9" s="9">
        <f t="shared" si="2"/>
        <v>0.40001641991187981</v>
      </c>
      <c r="J9" s="9">
        <f t="shared" si="3"/>
        <v>0.40000173044576015</v>
      </c>
    </row>
    <row r="10" spans="2:10" ht="15">
      <c r="B10" s="43" t="s">
        <v>96</v>
      </c>
      <c r="C10" s="45">
        <f>ROUND(SUM(C5:C9),2)</f>
        <v>11418.55</v>
      </c>
      <c r="D10" s="45">
        <f t="shared" ref="D10:H10" si="4">ROUND(SUM(D5:D9),2)</f>
        <v>291999.90000000002</v>
      </c>
      <c r="E10" s="45">
        <f t="shared" si="4"/>
        <v>9737.7199999999993</v>
      </c>
      <c r="F10" s="45">
        <f t="shared" si="4"/>
        <v>231859.20000000001</v>
      </c>
      <c r="G10" s="47">
        <f t="shared" si="4"/>
        <v>1680.83</v>
      </c>
      <c r="H10" s="47">
        <f t="shared" si="4"/>
        <v>60140.7</v>
      </c>
      <c r="I10" s="48">
        <f>G10/C10</f>
        <v>0.14720170249287345</v>
      </c>
      <c r="J10" s="48">
        <f t="shared" si="3"/>
        <v>0.20596137190457939</v>
      </c>
    </row>
    <row r="12" spans="2:10">
      <c r="B12" s="58" t="s">
        <v>118</v>
      </c>
      <c r="C12" s="60" t="s">
        <v>81</v>
      </c>
      <c r="D12" s="60"/>
      <c r="E12" s="60" t="s">
        <v>82</v>
      </c>
      <c r="F12" s="60"/>
      <c r="G12" s="71" t="s">
        <v>77</v>
      </c>
      <c r="H12" s="71"/>
      <c r="I12" s="72" t="s">
        <v>100</v>
      </c>
      <c r="J12" s="73"/>
    </row>
    <row r="13" spans="2:10">
      <c r="B13" s="74"/>
      <c r="C13" s="11" t="s">
        <v>94</v>
      </c>
      <c r="D13" s="11" t="s">
        <v>95</v>
      </c>
      <c r="E13" s="11" t="s">
        <v>94</v>
      </c>
      <c r="F13" s="11" t="s">
        <v>95</v>
      </c>
      <c r="G13" s="46" t="s">
        <v>94</v>
      </c>
      <c r="H13" s="46" t="s">
        <v>95</v>
      </c>
      <c r="I13" s="46" t="s">
        <v>98</v>
      </c>
      <c r="J13" s="46" t="s">
        <v>99</v>
      </c>
    </row>
    <row r="14" spans="2:10">
      <c r="B14" s="6" t="s">
        <v>115</v>
      </c>
      <c r="C14" s="44">
        <f>'EFEKT EKO'!L4+'EFEKT EKO'!L16</f>
        <v>1700.5757599999999</v>
      </c>
      <c r="D14" s="44">
        <f>'EFEKT EKO'!F4+'EFEKT EKO'!F16</f>
        <v>16351.69</v>
      </c>
      <c r="E14" s="44">
        <f>'EFEKT EKO'!L10+'EFEKT EKO'!L21</f>
        <v>464.70498020000002</v>
      </c>
      <c r="F14" s="44">
        <f>'EFEKT EKO'!F8/1000+'EFEKT EKO'!F9+'EFEKT EKO'!F20</f>
        <v>11798.137029999998</v>
      </c>
      <c r="G14" s="44">
        <f>C14-E14</f>
        <v>1235.8707798</v>
      </c>
      <c r="H14" s="44">
        <f>D14-F14</f>
        <v>4553.5529700000025</v>
      </c>
      <c r="I14" s="9">
        <f>G14/C14</f>
        <v>0.72673667875872816</v>
      </c>
      <c r="J14" s="9">
        <f>H14/D14</f>
        <v>0.27847598443952903</v>
      </c>
    </row>
    <row r="15" spans="2:10">
      <c r="B15" s="6" t="s">
        <v>116</v>
      </c>
      <c r="C15" s="44">
        <v>5638</v>
      </c>
      <c r="D15" s="44">
        <f>GEO!D6</f>
        <v>47362</v>
      </c>
      <c r="E15" s="44">
        <v>0</v>
      </c>
      <c r="F15" s="44">
        <f>D15</f>
        <v>47362</v>
      </c>
      <c r="G15" s="44">
        <f>C15-E15</f>
        <v>5638</v>
      </c>
      <c r="H15" s="44">
        <f>D15-F15</f>
        <v>0</v>
      </c>
      <c r="I15" s="9">
        <f>G15/C15</f>
        <v>1</v>
      </c>
      <c r="J15" s="9">
        <f>H15/D15</f>
        <v>0</v>
      </c>
    </row>
    <row r="16" spans="2:10" ht="15">
      <c r="B16" s="43" t="s">
        <v>96</v>
      </c>
      <c r="C16" s="45">
        <f>ROUND(SUM(C14:C15),2)</f>
        <v>7338.58</v>
      </c>
      <c r="D16" s="45">
        <f t="shared" ref="D16:F16" si="5">ROUND(SUM(D14:D15),2)</f>
        <v>63713.69</v>
      </c>
      <c r="E16" s="45">
        <f t="shared" si="5"/>
        <v>464.7</v>
      </c>
      <c r="F16" s="45">
        <f t="shared" si="5"/>
        <v>59160.14</v>
      </c>
      <c r="G16" s="47">
        <f>ROUND(SUM(G14:G15),2)</f>
        <v>6873.87</v>
      </c>
      <c r="H16" s="47">
        <f>ROUND(SUM(H14:H15),2)</f>
        <v>4553.55</v>
      </c>
      <c r="I16" s="48">
        <f>G16/C16</f>
        <v>0.93667576016068499</v>
      </c>
      <c r="J16" s="48">
        <f t="shared" ref="J16" si="6">H16/D16</f>
        <v>7.1468941761181931E-2</v>
      </c>
    </row>
    <row r="18" spans="2:10">
      <c r="B18" s="64" t="s">
        <v>117</v>
      </c>
      <c r="C18" s="71">
        <v>2014</v>
      </c>
      <c r="D18" s="71"/>
      <c r="E18" s="71">
        <v>2020</v>
      </c>
      <c r="F18" s="71"/>
      <c r="G18" s="71" t="s">
        <v>77</v>
      </c>
      <c r="H18" s="71"/>
      <c r="I18" s="72" t="s">
        <v>100</v>
      </c>
      <c r="J18" s="73"/>
    </row>
    <row r="19" spans="2:10">
      <c r="B19" s="70"/>
      <c r="C19" s="46" t="s">
        <v>94</v>
      </c>
      <c r="D19" s="46" t="s">
        <v>95</v>
      </c>
      <c r="E19" s="46" t="s">
        <v>94</v>
      </c>
      <c r="F19" s="46" t="s">
        <v>95</v>
      </c>
      <c r="G19" s="46" t="s">
        <v>94</v>
      </c>
      <c r="H19" s="46" t="s">
        <v>95</v>
      </c>
      <c r="I19" s="46" t="s">
        <v>98</v>
      </c>
      <c r="J19" s="46" t="s">
        <v>99</v>
      </c>
    </row>
    <row r="20" spans="2:10" ht="15">
      <c r="B20" s="65"/>
      <c r="C20" s="47">
        <f>C10</f>
        <v>11418.55</v>
      </c>
      <c r="D20" s="47">
        <f>D10</f>
        <v>291999.90000000002</v>
      </c>
      <c r="E20" s="47">
        <f>E10-G16</f>
        <v>2863.8499999999995</v>
      </c>
      <c r="F20" s="47">
        <f>F10-H16</f>
        <v>227305.65000000002</v>
      </c>
      <c r="G20" s="47">
        <f>C20-E20</f>
        <v>8554.7000000000007</v>
      </c>
      <c r="H20" s="47">
        <f>D20-F20</f>
        <v>64694.25</v>
      </c>
      <c r="I20" s="48">
        <f>G20/C20</f>
        <v>0.74919319878618573</v>
      </c>
      <c r="J20" s="48">
        <f t="shared" ref="J20" si="7">H20/D20</f>
        <v>0.2215557265601803</v>
      </c>
    </row>
  </sheetData>
  <mergeCells count="15">
    <mergeCell ref="B12:B13"/>
    <mergeCell ref="C12:D12"/>
    <mergeCell ref="E12:F12"/>
    <mergeCell ref="G12:H12"/>
    <mergeCell ref="I12:J12"/>
    <mergeCell ref="C3:D3"/>
    <mergeCell ref="E3:F3"/>
    <mergeCell ref="B3:B4"/>
    <mergeCell ref="G3:H3"/>
    <mergeCell ref="I3:J3"/>
    <mergeCell ref="B18:B20"/>
    <mergeCell ref="C18:D18"/>
    <mergeCell ref="E18:F18"/>
    <mergeCell ref="G18:H18"/>
    <mergeCell ref="I18:J1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EFEKT EKO</vt:lpstr>
      <vt:lpstr>OBLICZ</vt:lpstr>
      <vt:lpstr>GEO</vt:lpstr>
      <vt:lpstr>BEI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Szczotka</dc:creator>
  <cp:lastModifiedBy>user</cp:lastModifiedBy>
  <cp:lastPrinted>2017-04-21T14:38:18Z</cp:lastPrinted>
  <dcterms:created xsi:type="dcterms:W3CDTF">2017-02-06T13:34:34Z</dcterms:created>
  <dcterms:modified xsi:type="dcterms:W3CDTF">2017-04-21T14:38:51Z</dcterms:modified>
</cp:coreProperties>
</file>